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15" windowHeight="11865" tabRatio="454"/>
  </bookViews>
  <sheets>
    <sheet name="СВОД" sheetId="2" r:id="rId1"/>
  </sheets>
  <definedNames>
    <definedName name="_xlnm._FilterDatabase" localSheetId="0" hidden="1">СВОД!$B$6:$O$9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9" i="2" l="1"/>
  <c r="N68" i="2"/>
  <c r="N62" i="2"/>
  <c r="N55" i="2"/>
  <c r="N73" i="2"/>
  <c r="N72" i="2"/>
  <c r="N71" i="2"/>
  <c r="N67" i="2"/>
  <c r="N66" i="2"/>
  <c r="N64" i="2"/>
  <c r="N63" i="2"/>
  <c r="N61" i="2"/>
  <c r="N59" i="2"/>
  <c r="N58" i="2"/>
  <c r="N57" i="2"/>
  <c r="N54" i="2"/>
  <c r="N53" i="2"/>
  <c r="N52" i="2"/>
  <c r="N51" i="2"/>
  <c r="N49" i="2"/>
  <c r="N48" i="2"/>
  <c r="N47" i="2"/>
  <c r="N46" i="2"/>
  <c r="N45" i="2"/>
  <c r="N44" i="2"/>
  <c r="N43" i="2"/>
  <c r="N42" i="2"/>
  <c r="N41" i="2"/>
  <c r="N40" i="2"/>
  <c r="N39" i="2"/>
  <c r="N38" i="2"/>
  <c r="N35" i="2"/>
  <c r="N33" i="2"/>
  <c r="N32" i="2"/>
  <c r="N31" i="2"/>
  <c r="N30" i="2"/>
  <c r="N28" i="2"/>
  <c r="N27" i="2"/>
  <c r="N26" i="2"/>
  <c r="N25" i="2"/>
  <c r="N24" i="2"/>
  <c r="N23" i="2"/>
  <c r="N22" i="2"/>
  <c r="N21" i="2"/>
  <c r="N19" i="2"/>
  <c r="N18" i="2"/>
  <c r="N17" i="2"/>
  <c r="N16" i="2"/>
  <c r="N15" i="2"/>
  <c r="N12" i="2"/>
  <c r="N11" i="2"/>
  <c r="N10" i="2"/>
  <c r="N70" i="2"/>
  <c r="N65" i="2"/>
  <c r="N60" i="2"/>
  <c r="N56" i="2"/>
  <c r="N50" i="2"/>
  <c r="N37" i="2"/>
  <c r="N36" i="2"/>
  <c r="N34" i="2"/>
  <c r="N29" i="2"/>
  <c r="N20" i="2"/>
  <c r="N14" i="2"/>
  <c r="N13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</calcChain>
</file>

<file path=xl/sharedStrings.xml><?xml version="1.0" encoding="utf-8"?>
<sst xmlns="http://schemas.openxmlformats.org/spreadsheetml/2006/main" count="402" uniqueCount="84">
  <si>
    <t>Наименование учреждения</t>
  </si>
  <si>
    <t>Наименование продукции (указывается весь перечень продукции согласно спецификации контракта (договора))</t>
  </si>
  <si>
    <t>Наименование поставщика</t>
  </si>
  <si>
    <t>в том числе по источникам финансирования</t>
  </si>
  <si>
    <t>федеральный бюджет</t>
  </si>
  <si>
    <t>муниципальный бюджет</t>
  </si>
  <si>
    <t>внебюджетные средства (прочие источники доходов)</t>
  </si>
  <si>
    <t>областной
 бюджет</t>
  </si>
  <si>
    <t>Муниципальный или городской округ</t>
  </si>
  <si>
    <t xml:space="preserve">Всего 
</t>
  </si>
  <si>
    <t>Номер и дата контракта (договора)
(исполненный  или исполненый частично)</t>
  </si>
  <si>
    <t>Объём поставленной (закупленной) продукции, кг, литры</t>
  </si>
  <si>
    <t>Сумма стоимости поставляемой продукции в разрезе наименований товара по контракту (договору), руб.</t>
  </si>
  <si>
    <t>Способ осуществления закупки (аукцион, котировка, запрос предложений, единтвенный поставщик и т. п.)</t>
  </si>
  <si>
    <t>Макушинский район</t>
  </si>
  <si>
    <t>единственный поставщик</t>
  </si>
  <si>
    <t>апельсины</t>
  </si>
  <si>
    <t>груши</t>
  </si>
  <si>
    <t>йогурт</t>
  </si>
  <si>
    <t>картофель</t>
  </si>
  <si>
    <t>колбаса</t>
  </si>
  <si>
    <t>консервы рыбные</t>
  </si>
  <si>
    <t>макаронные изделия</t>
  </si>
  <si>
    <t>мандарины</t>
  </si>
  <si>
    <t>масло растительное</t>
  </si>
  <si>
    <t>сосиски</t>
  </si>
  <si>
    <t>томатная паста</t>
  </si>
  <si>
    <t>тушенка</t>
  </si>
  <si>
    <t>бананы</t>
  </si>
  <si>
    <t>вафли</t>
  </si>
  <si>
    <t>горох</t>
  </si>
  <si>
    <t>какао</t>
  </si>
  <si>
    <t>капуста</t>
  </si>
  <si>
    <t>кисель</t>
  </si>
  <si>
    <t>кофейный напиток</t>
  </si>
  <si>
    <t>лавровый лист</t>
  </si>
  <si>
    <t>масло сливочное</t>
  </si>
  <si>
    <t>морковь</t>
  </si>
  <si>
    <t>мука</t>
  </si>
  <si>
    <t>печенье</t>
  </si>
  <si>
    <t>повидло</t>
  </si>
  <si>
    <t>пшено</t>
  </si>
  <si>
    <t>рис</t>
  </si>
  <si>
    <t>сардельки</t>
  </si>
  <si>
    <t>свекла</t>
  </si>
  <si>
    <t>яйцо</t>
  </si>
  <si>
    <t>пряники</t>
  </si>
  <si>
    <t>зеленый горошек</t>
  </si>
  <si>
    <t>изюм</t>
  </si>
  <si>
    <t>лимоны</t>
  </si>
  <si>
    <t>хурма</t>
  </si>
  <si>
    <t>МКОУ "Сетовенская СОШ"</t>
  </si>
  <si>
    <t>виноград</t>
  </si>
  <si>
    <t>грудка куриная</t>
  </si>
  <si>
    <t>ООО "Радуга"</t>
  </si>
  <si>
    <t>кондитерские изделия</t>
  </si>
  <si>
    <t>фарш говяжий</t>
  </si>
  <si>
    <t>сдоба</t>
  </si>
  <si>
    <t>компотная смесь</t>
  </si>
  <si>
    <t>молоко питьевое цельное м.д.ж. 3,2%</t>
  </si>
  <si>
    <t>творог м.д.ж. 5%</t>
  </si>
  <si>
    <t>сыр твердый</t>
  </si>
  <si>
    <t>куриные тушки охлажденные</t>
  </si>
  <si>
    <t>рыба свежемороженная</t>
  </si>
  <si>
    <t>сметана м.д.ж.15%</t>
  </si>
  <si>
    <t>"Геркулес" крупа овсяная</t>
  </si>
  <si>
    <t>манная крупа</t>
  </si>
  <si>
    <t>гречневая крупа</t>
  </si>
  <si>
    <t>перловая крупа</t>
  </si>
  <si>
    <t>ячневая крупа</t>
  </si>
  <si>
    <t>пшеничная крупа</t>
  </si>
  <si>
    <t>сахар песок</t>
  </si>
  <si>
    <t>лук репчатый</t>
  </si>
  <si>
    <t>огурцы свежие</t>
  </si>
  <si>
    <t>помидоры свежие</t>
  </si>
  <si>
    <t>соки в ассортименте</t>
  </si>
  <si>
    <t>чай черный байховый</t>
  </si>
  <si>
    <t>яблоки калиброванные</t>
  </si>
  <si>
    <t>соль поваренная пищевая йодированная</t>
  </si>
  <si>
    <t>хлеб из пшеничной муки 1 сорта</t>
  </si>
  <si>
    <t>окорочка куриные охлажденные</t>
  </si>
  <si>
    <t>№15 от 01.09.2020</t>
  </si>
  <si>
    <t>Объем закупок продуктов питания МКОУ "Сетовенская СОШ" за 2020-2021 учебный год</t>
  </si>
  <si>
    <t>42.408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</si>
</sst>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i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8"/>
      <name val="Arial"/>
      <family val="2"/>
    </font>
    <font>
      <i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Border="0" applyProtection="0"/>
    <xf numFmtId="0" fontId="2" fillId="0" borderId="0"/>
    <xf numFmtId="0" fontId="1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6" fillId="0" borderId="0" xfId="0" applyFont="1" applyAlignment="1">
      <alignment horizontal="right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3" fillId="0" borderId="0" xfId="0" applyFont="1" applyAlignment="1"/>
    <xf numFmtId="0" fontId="0" fillId="0" borderId="0" xfId="0" applyAlignment="1"/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</cellXfs>
  <cellStyles count="4">
    <cellStyle name="Гиперссылка 2" xfId="1"/>
    <cellStyle name="Обычный" xfId="0" builtinId="0"/>
    <cellStyle name="Обычный 2" xfId="2"/>
    <cellStyle name="Обычный_СВОД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topLeftCell="B43" workbookViewId="0">
      <selection activeCell="G73" sqref="G73"/>
    </sheetView>
  </sheetViews>
  <sheetFormatPr defaultRowHeight="15" x14ac:dyDescent="0.25"/>
  <cols>
    <col min="1" max="1" width="3.7109375" customWidth="1"/>
    <col min="2" max="2" width="18.7109375" customWidth="1"/>
    <col min="3" max="3" width="27" style="1" customWidth="1"/>
    <col min="4" max="4" width="19.7109375" style="1" customWidth="1"/>
    <col min="5" max="5" width="20.7109375" customWidth="1"/>
    <col min="6" max="6" width="21" customWidth="1"/>
    <col min="7" max="7" width="13" customWidth="1"/>
    <col min="8" max="12" width="15.85546875" hidden="1" customWidth="1"/>
    <col min="13" max="13" width="11.42578125" style="3" customWidth="1"/>
    <col min="14" max="14" width="14.7109375" hidden="1" customWidth="1"/>
    <col min="15" max="15" width="18.7109375" customWidth="1"/>
  </cols>
  <sheetData>
    <row r="1" spans="1:15" ht="8.25" customHeight="1" x14ac:dyDescent="0.25">
      <c r="A1" s="4"/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7"/>
      <c r="N1" s="4"/>
      <c r="O1" s="4"/>
    </row>
    <row r="2" spans="1:15" ht="16.5" customHeight="1" x14ac:dyDescent="0.25">
      <c r="A2" s="4"/>
      <c r="B2" s="36"/>
      <c r="C2" s="36"/>
      <c r="D2" s="36"/>
      <c r="E2" s="36"/>
      <c r="F2" s="36"/>
      <c r="G2" s="36"/>
      <c r="H2" s="36"/>
      <c r="I2" s="37"/>
      <c r="J2" s="18"/>
      <c r="K2" s="18"/>
      <c r="L2" s="18"/>
      <c r="M2" s="24"/>
      <c r="N2" s="18"/>
      <c r="O2" s="22"/>
    </row>
    <row r="3" spans="1:15" ht="18.75" customHeight="1" x14ac:dyDescent="0.25">
      <c r="A3" s="4"/>
      <c r="B3" s="38" t="s">
        <v>82</v>
      </c>
      <c r="C3" s="39"/>
      <c r="D3" s="39"/>
      <c r="E3" s="39"/>
      <c r="F3" s="39"/>
      <c r="G3" s="39"/>
      <c r="H3" s="39"/>
      <c r="I3" s="39"/>
      <c r="J3" s="39"/>
      <c r="K3" s="8"/>
      <c r="L3" s="8"/>
      <c r="M3" s="25"/>
      <c r="N3" s="8"/>
      <c r="O3" s="8"/>
    </row>
    <row r="4" spans="1:15" ht="15.75" x14ac:dyDescent="0.25">
      <c r="A4" s="4"/>
      <c r="B4" s="8"/>
      <c r="C4" s="9"/>
      <c r="D4" s="9"/>
      <c r="E4" s="8"/>
      <c r="F4" s="8"/>
      <c r="G4" s="8"/>
      <c r="H4" s="8"/>
      <c r="I4" s="8"/>
      <c r="J4" s="8"/>
      <c r="K4" s="8"/>
      <c r="L4" s="8"/>
      <c r="M4" s="25"/>
      <c r="N4" s="8"/>
      <c r="O4" s="8"/>
    </row>
    <row r="5" spans="1:15" s="2" customFormat="1" ht="15.75" x14ac:dyDescent="0.25">
      <c r="A5" s="6"/>
      <c r="B5" s="10">
        <v>1</v>
      </c>
      <c r="C5" s="10">
        <v>3</v>
      </c>
      <c r="D5" s="10">
        <v>4</v>
      </c>
      <c r="E5" s="10">
        <v>6</v>
      </c>
      <c r="F5" s="10">
        <v>7</v>
      </c>
      <c r="G5" s="10"/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26"/>
      <c r="N5" s="10">
        <v>13</v>
      </c>
      <c r="O5" s="10">
        <v>15</v>
      </c>
    </row>
    <row r="6" spans="1:15" ht="15" customHeight="1" x14ac:dyDescent="0.25">
      <c r="A6" s="4"/>
      <c r="B6" s="40" t="s">
        <v>8</v>
      </c>
      <c r="C6" s="27" t="s">
        <v>0</v>
      </c>
      <c r="D6" s="27" t="s">
        <v>13</v>
      </c>
      <c r="E6" s="27" t="s">
        <v>10</v>
      </c>
      <c r="F6" s="27" t="s">
        <v>1</v>
      </c>
      <c r="G6" s="27" t="s">
        <v>12</v>
      </c>
      <c r="H6" s="30" t="s">
        <v>12</v>
      </c>
      <c r="I6" s="31"/>
      <c r="J6" s="31"/>
      <c r="K6" s="31"/>
      <c r="L6" s="32"/>
      <c r="M6" s="50" t="s">
        <v>11</v>
      </c>
      <c r="N6" s="47" t="s">
        <v>11</v>
      </c>
      <c r="O6" s="27" t="s">
        <v>2</v>
      </c>
    </row>
    <row r="7" spans="1:15" ht="15.75" x14ac:dyDescent="0.25">
      <c r="A7" s="4"/>
      <c r="B7" s="41"/>
      <c r="C7" s="28"/>
      <c r="D7" s="28"/>
      <c r="E7" s="28"/>
      <c r="F7" s="28"/>
      <c r="G7" s="28"/>
      <c r="H7" s="33"/>
      <c r="I7" s="34"/>
      <c r="J7" s="34"/>
      <c r="K7" s="34"/>
      <c r="L7" s="35"/>
      <c r="M7" s="51"/>
      <c r="N7" s="48"/>
      <c r="O7" s="28"/>
    </row>
    <row r="8" spans="1:15" ht="15.75" x14ac:dyDescent="0.25">
      <c r="A8" s="4"/>
      <c r="B8" s="41"/>
      <c r="C8" s="28"/>
      <c r="D8" s="28"/>
      <c r="E8" s="28"/>
      <c r="F8" s="28"/>
      <c r="G8" s="28"/>
      <c r="H8" s="42" t="s">
        <v>9</v>
      </c>
      <c r="I8" s="44" t="s">
        <v>3</v>
      </c>
      <c r="J8" s="45"/>
      <c r="K8" s="45"/>
      <c r="L8" s="46"/>
      <c r="M8" s="51"/>
      <c r="N8" s="48"/>
      <c r="O8" s="28"/>
    </row>
    <row r="9" spans="1:15" ht="48" x14ac:dyDescent="0.25">
      <c r="A9" s="4"/>
      <c r="B9" s="41"/>
      <c r="C9" s="29"/>
      <c r="D9" s="29"/>
      <c r="E9" s="29"/>
      <c r="F9" s="29"/>
      <c r="G9" s="29"/>
      <c r="H9" s="43"/>
      <c r="I9" s="11" t="s">
        <v>7</v>
      </c>
      <c r="J9" s="11" t="s">
        <v>5</v>
      </c>
      <c r="K9" s="11" t="s">
        <v>4</v>
      </c>
      <c r="L9" s="11" t="s">
        <v>6</v>
      </c>
      <c r="M9" s="52"/>
      <c r="N9" s="49"/>
      <c r="O9" s="29"/>
    </row>
    <row r="10" spans="1:15" ht="24" x14ac:dyDescent="0.25">
      <c r="A10" s="4"/>
      <c r="B10" s="20" t="s">
        <v>14</v>
      </c>
      <c r="C10" s="13" t="s">
        <v>51</v>
      </c>
      <c r="D10" s="12" t="s">
        <v>15</v>
      </c>
      <c r="E10" s="19" t="s">
        <v>81</v>
      </c>
      <c r="F10" s="21" t="s">
        <v>16</v>
      </c>
      <c r="G10" s="23">
        <v>8692.32</v>
      </c>
      <c r="H10" s="14">
        <f t="shared" ref="H10:H17" si="0">SUM(I10:L10)</f>
        <v>8692.32</v>
      </c>
      <c r="I10" s="17">
        <v>481.6</v>
      </c>
      <c r="J10" s="17">
        <v>206.4</v>
      </c>
      <c r="K10" s="17">
        <v>8004.32</v>
      </c>
      <c r="L10" s="17"/>
      <c r="M10" s="15">
        <v>54.326999999999998</v>
      </c>
      <c r="N10" s="16">
        <f>50.03+4.3</f>
        <v>54.33</v>
      </c>
      <c r="O10" s="13" t="s">
        <v>54</v>
      </c>
    </row>
    <row r="11" spans="1:15" ht="24" x14ac:dyDescent="0.25">
      <c r="A11" s="4"/>
      <c r="B11" s="20" t="s">
        <v>14</v>
      </c>
      <c r="C11" s="13" t="s">
        <v>51</v>
      </c>
      <c r="D11" s="12" t="s">
        <v>15</v>
      </c>
      <c r="E11" s="19" t="s">
        <v>81</v>
      </c>
      <c r="F11" s="21" t="s">
        <v>28</v>
      </c>
      <c r="G11" s="23">
        <v>6744.6</v>
      </c>
      <c r="H11" s="14">
        <f t="shared" si="0"/>
        <v>6252.9299999999994</v>
      </c>
      <c r="I11" s="17">
        <v>374.52100000000002</v>
      </c>
      <c r="J11" s="17">
        <v>160.50899999999999</v>
      </c>
      <c r="K11" s="17">
        <v>5717.9</v>
      </c>
      <c r="L11" s="17"/>
      <c r="M11" s="15">
        <v>58.445999999999998</v>
      </c>
      <c r="N11" s="16">
        <f>58.21+6.335</f>
        <v>64.545000000000002</v>
      </c>
      <c r="O11" s="13" t="s">
        <v>54</v>
      </c>
    </row>
    <row r="12" spans="1:15" ht="24" x14ac:dyDescent="0.25">
      <c r="A12" s="4"/>
      <c r="B12" s="20" t="s">
        <v>14</v>
      </c>
      <c r="C12" s="13" t="s">
        <v>51</v>
      </c>
      <c r="D12" s="12" t="s">
        <v>15</v>
      </c>
      <c r="E12" s="19" t="s">
        <v>81</v>
      </c>
      <c r="F12" s="21" t="s">
        <v>57</v>
      </c>
      <c r="G12" s="23">
        <v>4908</v>
      </c>
      <c r="H12" s="14">
        <f t="shared" si="0"/>
        <v>657.03</v>
      </c>
      <c r="I12" s="17">
        <v>249.92099999999999</v>
      </c>
      <c r="J12" s="17">
        <v>107.10899999999999</v>
      </c>
      <c r="K12" s="17">
        <v>300</v>
      </c>
      <c r="L12" s="17"/>
      <c r="M12" s="15">
        <v>344</v>
      </c>
      <c r="N12" s="16">
        <f>20+11.7</f>
        <v>31.7</v>
      </c>
      <c r="O12" s="13" t="s">
        <v>54</v>
      </c>
    </row>
    <row r="13" spans="1:15" ht="24" x14ac:dyDescent="0.25">
      <c r="A13" s="4"/>
      <c r="B13" s="20" t="s">
        <v>14</v>
      </c>
      <c r="C13" s="13" t="s">
        <v>51</v>
      </c>
      <c r="D13" s="12" t="s">
        <v>15</v>
      </c>
      <c r="E13" s="19" t="s">
        <v>81</v>
      </c>
      <c r="F13" s="21" t="s">
        <v>29</v>
      </c>
      <c r="G13" s="23">
        <v>2513.5</v>
      </c>
      <c r="H13" s="14">
        <f t="shared" si="0"/>
        <v>1354.1</v>
      </c>
      <c r="I13" s="17"/>
      <c r="J13" s="17"/>
      <c r="K13" s="17">
        <v>1354.1</v>
      </c>
      <c r="L13" s="17"/>
      <c r="M13" s="15">
        <v>12.32</v>
      </c>
      <c r="N13" s="16">
        <f>7.05</f>
        <v>7.05</v>
      </c>
      <c r="O13" s="13" t="s">
        <v>54</v>
      </c>
    </row>
    <row r="14" spans="1:15" ht="24" x14ac:dyDescent="0.25">
      <c r="A14" s="4"/>
      <c r="B14" s="20" t="s">
        <v>14</v>
      </c>
      <c r="C14" s="13" t="s">
        <v>51</v>
      </c>
      <c r="D14" s="12" t="s">
        <v>15</v>
      </c>
      <c r="E14" s="19" t="s">
        <v>81</v>
      </c>
      <c r="F14" s="21" t="s">
        <v>52</v>
      </c>
      <c r="G14" s="23">
        <v>725</v>
      </c>
      <c r="H14" s="14">
        <f t="shared" si="0"/>
        <v>725</v>
      </c>
      <c r="I14" s="17"/>
      <c r="J14" s="17"/>
      <c r="K14" s="17">
        <v>725</v>
      </c>
      <c r="L14" s="17"/>
      <c r="M14" s="15">
        <v>5</v>
      </c>
      <c r="N14" s="16">
        <f>5</f>
        <v>5</v>
      </c>
      <c r="O14" s="13" t="s">
        <v>54</v>
      </c>
    </row>
    <row r="15" spans="1:15" ht="24.75" x14ac:dyDescent="0.25">
      <c r="A15" s="4"/>
      <c r="B15" s="20" t="s">
        <v>14</v>
      </c>
      <c r="C15" s="13" t="s">
        <v>51</v>
      </c>
      <c r="D15" s="12" t="s">
        <v>15</v>
      </c>
      <c r="E15" s="19" t="s">
        <v>81</v>
      </c>
      <c r="F15" s="21" t="s">
        <v>65</v>
      </c>
      <c r="G15" s="23">
        <v>1033.32</v>
      </c>
      <c r="H15" s="14">
        <f t="shared" si="0"/>
        <v>845.63</v>
      </c>
      <c r="I15" s="17">
        <v>414.75</v>
      </c>
      <c r="J15" s="17">
        <v>177.75</v>
      </c>
      <c r="K15" s="17">
        <v>253.13</v>
      </c>
      <c r="L15" s="17"/>
      <c r="M15" s="15">
        <v>28.704999999999998</v>
      </c>
      <c r="N15" s="16">
        <f>7.77+17.5</f>
        <v>25.27</v>
      </c>
      <c r="O15" s="13" t="s">
        <v>54</v>
      </c>
    </row>
    <row r="16" spans="1:15" ht="24" x14ac:dyDescent="0.25">
      <c r="A16" s="4"/>
      <c r="B16" s="20" t="s">
        <v>14</v>
      </c>
      <c r="C16" s="13" t="s">
        <v>51</v>
      </c>
      <c r="D16" s="12" t="s">
        <v>15</v>
      </c>
      <c r="E16" s="19" t="s">
        <v>81</v>
      </c>
      <c r="F16" s="21" t="s">
        <v>30</v>
      </c>
      <c r="G16" s="23">
        <v>2736.42</v>
      </c>
      <c r="H16" s="14">
        <f t="shared" si="0"/>
        <v>1216.6399999999999</v>
      </c>
      <c r="I16" s="17">
        <v>448.73500000000001</v>
      </c>
      <c r="J16" s="17">
        <v>192.315</v>
      </c>
      <c r="K16" s="17">
        <v>575.59</v>
      </c>
      <c r="L16" s="17"/>
      <c r="M16" s="15">
        <v>73.034999999999997</v>
      </c>
      <c r="N16" s="16">
        <f>15.57+18.09</f>
        <v>33.659999999999997</v>
      </c>
      <c r="O16" s="13" t="s">
        <v>54</v>
      </c>
    </row>
    <row r="17" spans="1:15" ht="24" x14ac:dyDescent="0.25">
      <c r="A17" s="4"/>
      <c r="B17" s="20" t="s">
        <v>14</v>
      </c>
      <c r="C17" s="13" t="s">
        <v>51</v>
      </c>
      <c r="D17" s="12" t="s">
        <v>15</v>
      </c>
      <c r="E17" s="19" t="s">
        <v>81</v>
      </c>
      <c r="F17" s="21" t="s">
        <v>53</v>
      </c>
      <c r="G17" s="23">
        <v>38970.9</v>
      </c>
      <c r="H17" s="14">
        <f t="shared" si="0"/>
        <v>10731.28</v>
      </c>
      <c r="I17" s="17">
        <v>784</v>
      </c>
      <c r="J17" s="17">
        <v>336</v>
      </c>
      <c r="K17" s="17">
        <v>9611.2800000000007</v>
      </c>
      <c r="L17" s="17"/>
      <c r="M17" s="15">
        <v>129.90299999999999</v>
      </c>
      <c r="N17" s="16">
        <f>36.186+4</f>
        <v>40.186</v>
      </c>
      <c r="O17" s="13" t="s">
        <v>54</v>
      </c>
    </row>
    <row r="18" spans="1:15" ht="24" x14ac:dyDescent="0.25">
      <c r="A18" s="4"/>
      <c r="B18" s="20" t="s">
        <v>14</v>
      </c>
      <c r="C18" s="13" t="s">
        <v>51</v>
      </c>
      <c r="D18" s="12" t="s">
        <v>15</v>
      </c>
      <c r="E18" s="19" t="s">
        <v>81</v>
      </c>
      <c r="F18" s="21" t="s">
        <v>17</v>
      </c>
      <c r="G18" s="23">
        <v>9405.17</v>
      </c>
      <c r="H18" s="14">
        <f t="shared" ref="H18:H73" si="1">SUM(I18:L18)</f>
        <v>8818.67</v>
      </c>
      <c r="I18" s="17">
        <v>773.85</v>
      </c>
      <c r="J18" s="17">
        <v>331.65</v>
      </c>
      <c r="K18" s="17">
        <v>7713.17</v>
      </c>
      <c r="L18" s="17"/>
      <c r="M18" s="15">
        <v>46.566000000000003</v>
      </c>
      <c r="N18" s="16">
        <f>37.17+6.7</f>
        <v>43.870000000000005</v>
      </c>
      <c r="O18" s="13" t="s">
        <v>54</v>
      </c>
    </row>
    <row r="19" spans="1:15" ht="24" x14ac:dyDescent="0.25">
      <c r="A19" s="4"/>
      <c r="B19" s="20" t="s">
        <v>14</v>
      </c>
      <c r="C19" s="13" t="s">
        <v>51</v>
      </c>
      <c r="D19" s="12" t="s">
        <v>15</v>
      </c>
      <c r="E19" s="19" t="s">
        <v>81</v>
      </c>
      <c r="F19" s="21" t="s">
        <v>47</v>
      </c>
      <c r="G19" s="23">
        <v>640</v>
      </c>
      <c r="H19" s="14">
        <f t="shared" si="1"/>
        <v>495.7</v>
      </c>
      <c r="I19" s="17">
        <v>182.52500000000001</v>
      </c>
      <c r="J19" s="17">
        <v>78.224999999999994</v>
      </c>
      <c r="K19" s="17">
        <v>234.95</v>
      </c>
      <c r="L19" s="17"/>
      <c r="M19" s="15">
        <v>16</v>
      </c>
      <c r="N19" s="16">
        <f>6+5</f>
        <v>11</v>
      </c>
      <c r="O19" s="13" t="s">
        <v>54</v>
      </c>
    </row>
    <row r="20" spans="1:15" ht="24" x14ac:dyDescent="0.25">
      <c r="A20" s="4"/>
      <c r="B20" s="20" t="s">
        <v>14</v>
      </c>
      <c r="C20" s="13" t="s">
        <v>51</v>
      </c>
      <c r="D20" s="12" t="s">
        <v>15</v>
      </c>
      <c r="E20" s="19" t="s">
        <v>81</v>
      </c>
      <c r="F20" s="21" t="s">
        <v>55</v>
      </c>
      <c r="G20" s="23">
        <v>180</v>
      </c>
      <c r="H20" s="14">
        <f t="shared" si="1"/>
        <v>180.68</v>
      </c>
      <c r="I20" s="17"/>
      <c r="J20" s="17"/>
      <c r="K20" s="17">
        <v>180.68</v>
      </c>
      <c r="L20" s="17"/>
      <c r="M20" s="15">
        <v>1.095</v>
      </c>
      <c r="N20" s="16">
        <f>1.095</f>
        <v>1.095</v>
      </c>
      <c r="O20" s="13" t="s">
        <v>54</v>
      </c>
    </row>
    <row r="21" spans="1:15" ht="24" x14ac:dyDescent="0.25">
      <c r="A21" s="4"/>
      <c r="B21" s="20" t="s">
        <v>14</v>
      </c>
      <c r="C21" s="13" t="s">
        <v>51</v>
      </c>
      <c r="D21" s="12" t="s">
        <v>15</v>
      </c>
      <c r="E21" s="19" t="s">
        <v>81</v>
      </c>
      <c r="F21" s="21" t="s">
        <v>48</v>
      </c>
      <c r="G21" s="23">
        <v>1275</v>
      </c>
      <c r="H21" s="14">
        <f t="shared" si="1"/>
        <v>737.35</v>
      </c>
      <c r="I21" s="17">
        <v>35</v>
      </c>
      <c r="J21" s="17">
        <v>15</v>
      </c>
      <c r="K21" s="17">
        <v>687.35</v>
      </c>
      <c r="L21" s="17"/>
      <c r="M21" s="15">
        <v>5.0999999999999996</v>
      </c>
      <c r="N21" s="16">
        <f>2.72+0.2</f>
        <v>2.9200000000000004</v>
      </c>
      <c r="O21" s="13" t="s">
        <v>54</v>
      </c>
    </row>
    <row r="22" spans="1:15" ht="24" x14ac:dyDescent="0.25">
      <c r="A22" s="4"/>
      <c r="B22" s="20" t="s">
        <v>14</v>
      </c>
      <c r="C22" s="13" t="s">
        <v>51</v>
      </c>
      <c r="D22" s="12" t="s">
        <v>15</v>
      </c>
      <c r="E22" s="19" t="s">
        <v>81</v>
      </c>
      <c r="F22" s="21" t="s">
        <v>18</v>
      </c>
      <c r="G22" s="23">
        <v>3000.49</v>
      </c>
      <c r="H22" s="14">
        <f t="shared" si="1"/>
        <v>4206.49</v>
      </c>
      <c r="I22" s="17">
        <v>910</v>
      </c>
      <c r="J22" s="17">
        <v>390</v>
      </c>
      <c r="K22" s="17">
        <v>2906.49</v>
      </c>
      <c r="L22" s="17"/>
      <c r="M22" s="15">
        <v>27.065000000000001</v>
      </c>
      <c r="N22" s="16">
        <f>91.47+2.6</f>
        <v>94.07</v>
      </c>
      <c r="O22" s="13" t="s">
        <v>54</v>
      </c>
    </row>
    <row r="23" spans="1:15" ht="24" x14ac:dyDescent="0.25">
      <c r="A23" s="4"/>
      <c r="B23" s="20" t="s">
        <v>14</v>
      </c>
      <c r="C23" s="13" t="s">
        <v>51</v>
      </c>
      <c r="D23" s="12" t="s">
        <v>15</v>
      </c>
      <c r="E23" s="19" t="s">
        <v>81</v>
      </c>
      <c r="F23" s="21" t="s">
        <v>31</v>
      </c>
      <c r="G23" s="23">
        <v>1144</v>
      </c>
      <c r="H23" s="14">
        <f t="shared" si="1"/>
        <v>1099.18</v>
      </c>
      <c r="I23" s="17">
        <v>485.93299999999999</v>
      </c>
      <c r="J23" s="17">
        <v>208.25700000000001</v>
      </c>
      <c r="K23" s="17">
        <v>404.99</v>
      </c>
      <c r="L23" s="17"/>
      <c r="M23" s="15">
        <v>2.8</v>
      </c>
      <c r="N23" s="16">
        <f>0.9+2.33</f>
        <v>3.23</v>
      </c>
      <c r="O23" s="13" t="s">
        <v>54</v>
      </c>
    </row>
    <row r="24" spans="1:15" ht="24" x14ac:dyDescent="0.25">
      <c r="A24" s="4"/>
      <c r="B24" s="20" t="s">
        <v>14</v>
      </c>
      <c r="C24" s="13" t="s">
        <v>51</v>
      </c>
      <c r="D24" s="12" t="s">
        <v>15</v>
      </c>
      <c r="E24" s="19" t="s">
        <v>81</v>
      </c>
      <c r="F24" s="21" t="s">
        <v>32</v>
      </c>
      <c r="G24" s="23">
        <v>9476.4599999999991</v>
      </c>
      <c r="H24" s="14">
        <f t="shared" si="1"/>
        <v>4547.3599999999997</v>
      </c>
      <c r="I24" s="17">
        <v>427.13299999999998</v>
      </c>
      <c r="J24" s="17">
        <v>183.05699999999999</v>
      </c>
      <c r="K24" s="17">
        <v>3937.17</v>
      </c>
      <c r="L24" s="17"/>
      <c r="M24" s="15">
        <v>297.24599999999998</v>
      </c>
      <c r="N24" s="16">
        <f>121.37+24.65</f>
        <v>146.02000000000001</v>
      </c>
      <c r="O24" s="13" t="s">
        <v>54</v>
      </c>
    </row>
    <row r="25" spans="1:15" ht="24" x14ac:dyDescent="0.25">
      <c r="A25" s="4"/>
      <c r="B25" s="20" t="s">
        <v>14</v>
      </c>
      <c r="C25" s="13" t="s">
        <v>51</v>
      </c>
      <c r="D25" s="12" t="s">
        <v>15</v>
      </c>
      <c r="E25" s="19" t="s">
        <v>81</v>
      </c>
      <c r="F25" s="21" t="s">
        <v>19</v>
      </c>
      <c r="G25" s="23">
        <v>37468</v>
      </c>
      <c r="H25" s="14">
        <f t="shared" si="1"/>
        <v>12269.43</v>
      </c>
      <c r="I25" s="17">
        <v>1617.35</v>
      </c>
      <c r="J25" s="17">
        <v>693.15</v>
      </c>
      <c r="K25" s="17">
        <v>9958.93</v>
      </c>
      <c r="L25" s="17"/>
      <c r="M25" s="15">
        <v>936.7</v>
      </c>
      <c r="N25" s="16">
        <f>303.31+85.1</f>
        <v>388.40999999999997</v>
      </c>
      <c r="O25" s="13" t="s">
        <v>54</v>
      </c>
    </row>
    <row r="26" spans="1:15" ht="24" x14ac:dyDescent="0.25">
      <c r="A26" s="4"/>
      <c r="B26" s="20" t="s">
        <v>14</v>
      </c>
      <c r="C26" s="13" t="s">
        <v>51</v>
      </c>
      <c r="D26" s="12" t="s">
        <v>15</v>
      </c>
      <c r="E26" s="19" t="s">
        <v>81</v>
      </c>
      <c r="F26" s="21" t="s">
        <v>33</v>
      </c>
      <c r="G26" s="23">
        <v>5567.2</v>
      </c>
      <c r="H26" s="14">
        <f t="shared" si="1"/>
        <v>4830.1000000000004</v>
      </c>
      <c r="I26" s="17">
        <v>1949.5</v>
      </c>
      <c r="J26" s="17">
        <v>835.5</v>
      </c>
      <c r="K26" s="17">
        <v>2045.1</v>
      </c>
      <c r="L26" s="17"/>
      <c r="M26" s="15">
        <v>52.78</v>
      </c>
      <c r="N26" s="16">
        <f>18.17+48.2</f>
        <v>66.37</v>
      </c>
      <c r="O26" s="13" t="s">
        <v>54</v>
      </c>
    </row>
    <row r="27" spans="1:15" ht="24" x14ac:dyDescent="0.25">
      <c r="A27" s="4"/>
      <c r="B27" s="20" t="s">
        <v>14</v>
      </c>
      <c r="C27" s="13" t="s">
        <v>51</v>
      </c>
      <c r="D27" s="12" t="s">
        <v>15</v>
      </c>
      <c r="E27" s="19" t="s">
        <v>81</v>
      </c>
      <c r="F27" s="21" t="s">
        <v>20</v>
      </c>
      <c r="G27" s="23">
        <v>2942.69</v>
      </c>
      <c r="H27" s="14">
        <f t="shared" si="1"/>
        <v>4457.3999999999996</v>
      </c>
      <c r="I27" s="17">
        <v>2441.788</v>
      </c>
      <c r="J27" s="17">
        <v>343.21199999999999</v>
      </c>
      <c r="K27" s="17">
        <v>1672.4</v>
      </c>
      <c r="L27" s="17"/>
      <c r="M27" s="15">
        <v>9.8010000000000002</v>
      </c>
      <c r="N27" s="16">
        <f>6.345+4.19</f>
        <v>10.535</v>
      </c>
      <c r="O27" s="13" t="s">
        <v>54</v>
      </c>
    </row>
    <row r="28" spans="1:15" ht="24" x14ac:dyDescent="0.25">
      <c r="A28" s="4"/>
      <c r="B28" s="20" t="s">
        <v>14</v>
      </c>
      <c r="C28" s="13" t="s">
        <v>51</v>
      </c>
      <c r="D28" s="12" t="s">
        <v>15</v>
      </c>
      <c r="E28" s="19" t="s">
        <v>81</v>
      </c>
      <c r="F28" s="21" t="s">
        <v>21</v>
      </c>
      <c r="G28" s="23">
        <v>2908</v>
      </c>
      <c r="H28" s="14">
        <f t="shared" si="1"/>
        <v>1262.02</v>
      </c>
      <c r="I28" s="17">
        <v>182</v>
      </c>
      <c r="J28" s="17">
        <v>78</v>
      </c>
      <c r="K28" s="17">
        <v>1002.02</v>
      </c>
      <c r="L28" s="17"/>
      <c r="M28" s="15">
        <v>9.4600000000000009</v>
      </c>
      <c r="N28" s="16">
        <f>3.7+0.96</f>
        <v>4.66</v>
      </c>
      <c r="O28" s="13" t="s">
        <v>54</v>
      </c>
    </row>
    <row r="29" spans="1:15" ht="24" x14ac:dyDescent="0.25">
      <c r="A29" s="4"/>
      <c r="B29" s="20" t="s">
        <v>14</v>
      </c>
      <c r="C29" s="13" t="s">
        <v>51</v>
      </c>
      <c r="D29" s="12" t="s">
        <v>15</v>
      </c>
      <c r="E29" s="19" t="s">
        <v>81</v>
      </c>
      <c r="F29" s="21" t="s">
        <v>55</v>
      </c>
      <c r="G29" s="23">
        <v>7991.1</v>
      </c>
      <c r="H29" s="14">
        <f t="shared" si="1"/>
        <v>7991.1</v>
      </c>
      <c r="I29" s="17"/>
      <c r="J29" s="17"/>
      <c r="K29" s="17">
        <v>7991.1</v>
      </c>
      <c r="L29" s="17"/>
      <c r="M29" s="15">
        <v>20.274999999999999</v>
      </c>
      <c r="N29" s="16">
        <f>20.28</f>
        <v>20.28</v>
      </c>
      <c r="O29" s="13" t="s">
        <v>54</v>
      </c>
    </row>
    <row r="30" spans="1:15" ht="24" x14ac:dyDescent="0.25">
      <c r="A30" s="4"/>
      <c r="B30" s="20" t="s">
        <v>14</v>
      </c>
      <c r="C30" s="13" t="s">
        <v>51</v>
      </c>
      <c r="D30" s="12" t="s">
        <v>15</v>
      </c>
      <c r="E30" s="19" t="s">
        <v>81</v>
      </c>
      <c r="F30" s="21" t="s">
        <v>34</v>
      </c>
      <c r="G30" s="23">
        <v>1445.5</v>
      </c>
      <c r="H30" s="14">
        <f t="shared" si="1"/>
        <v>990</v>
      </c>
      <c r="I30" s="17">
        <v>385</v>
      </c>
      <c r="J30" s="17">
        <v>165</v>
      </c>
      <c r="K30" s="17">
        <v>440</v>
      </c>
      <c r="L30" s="17"/>
      <c r="M30" s="15">
        <v>2.7</v>
      </c>
      <c r="N30" s="16">
        <f>0.8+1</f>
        <v>1.8</v>
      </c>
      <c r="O30" s="13" t="s">
        <v>54</v>
      </c>
    </row>
    <row r="31" spans="1:15" ht="24" x14ac:dyDescent="0.25">
      <c r="A31" s="4"/>
      <c r="B31" s="20" t="s">
        <v>14</v>
      </c>
      <c r="C31" s="13" t="s">
        <v>51</v>
      </c>
      <c r="D31" s="12" t="s">
        <v>15</v>
      </c>
      <c r="E31" s="19" t="s">
        <v>81</v>
      </c>
      <c r="F31" s="21" t="s">
        <v>67</v>
      </c>
      <c r="G31" s="23">
        <v>8461.15</v>
      </c>
      <c r="H31" s="14">
        <f t="shared" si="1"/>
        <v>6691.83</v>
      </c>
      <c r="I31" s="17">
        <v>2029.44</v>
      </c>
      <c r="J31" s="17">
        <v>869.76</v>
      </c>
      <c r="K31" s="17">
        <v>3792.63</v>
      </c>
      <c r="L31" s="17"/>
      <c r="M31" s="15">
        <v>94.51</v>
      </c>
      <c r="N31" s="16">
        <f>42.17+36.48</f>
        <v>78.650000000000006</v>
      </c>
      <c r="O31" s="13" t="s">
        <v>54</v>
      </c>
    </row>
    <row r="32" spans="1:15" ht="24" x14ac:dyDescent="0.25">
      <c r="A32" s="4"/>
      <c r="B32" s="20" t="s">
        <v>14</v>
      </c>
      <c r="C32" s="13" t="s">
        <v>51</v>
      </c>
      <c r="D32" s="12" t="s">
        <v>15</v>
      </c>
      <c r="E32" s="19" t="s">
        <v>81</v>
      </c>
      <c r="F32" s="21" t="s">
        <v>70</v>
      </c>
      <c r="G32" s="23">
        <v>456</v>
      </c>
      <c r="H32" s="14">
        <f t="shared" si="1"/>
        <v>1131.02</v>
      </c>
      <c r="I32" s="17">
        <v>516.096</v>
      </c>
      <c r="J32" s="17">
        <v>221.184</v>
      </c>
      <c r="K32" s="17">
        <v>393.74</v>
      </c>
      <c r="L32" s="17"/>
      <c r="M32" s="15">
        <v>15.89</v>
      </c>
      <c r="N32" s="16">
        <f>10.05+19.98</f>
        <v>30.03</v>
      </c>
      <c r="O32" s="13" t="s">
        <v>54</v>
      </c>
    </row>
    <row r="33" spans="1:15" ht="24" x14ac:dyDescent="0.25">
      <c r="A33" s="4"/>
      <c r="B33" s="20" t="s">
        <v>14</v>
      </c>
      <c r="C33" s="13" t="s">
        <v>51</v>
      </c>
      <c r="D33" s="12" t="s">
        <v>15</v>
      </c>
      <c r="E33" s="19" t="s">
        <v>81</v>
      </c>
      <c r="F33" s="21" t="s">
        <v>68</v>
      </c>
      <c r="G33" s="23">
        <v>1690.84</v>
      </c>
      <c r="H33" s="14">
        <f t="shared" si="1"/>
        <v>636.77</v>
      </c>
      <c r="I33" s="17">
        <v>211.05</v>
      </c>
      <c r="J33" s="17">
        <v>90.45</v>
      </c>
      <c r="K33" s="17">
        <v>335.27</v>
      </c>
      <c r="L33" s="17"/>
      <c r="M33" s="15">
        <v>54.39</v>
      </c>
      <c r="N33" s="16">
        <f>12.53+11.5</f>
        <v>24.03</v>
      </c>
      <c r="O33" s="13" t="s">
        <v>54</v>
      </c>
    </row>
    <row r="34" spans="1:15" ht="24" x14ac:dyDescent="0.25">
      <c r="A34" s="4"/>
      <c r="B34" s="20" t="s">
        <v>14</v>
      </c>
      <c r="C34" s="13" t="s">
        <v>51</v>
      </c>
      <c r="D34" s="12" t="s">
        <v>15</v>
      </c>
      <c r="E34" s="19" t="s">
        <v>81</v>
      </c>
      <c r="F34" s="21" t="s">
        <v>66</v>
      </c>
      <c r="G34" s="23">
        <v>1645.4</v>
      </c>
      <c r="H34" s="14">
        <f t="shared" si="1"/>
        <v>378</v>
      </c>
      <c r="I34" s="17"/>
      <c r="J34" s="17"/>
      <c r="K34" s="17">
        <v>378</v>
      </c>
      <c r="L34" s="17"/>
      <c r="M34" s="15" t="s">
        <v>83</v>
      </c>
      <c r="N34" s="16">
        <f>12.95</f>
        <v>12.95</v>
      </c>
      <c r="O34" s="13" t="s">
        <v>54</v>
      </c>
    </row>
    <row r="35" spans="1:15" ht="24" x14ac:dyDescent="0.25">
      <c r="A35" s="4"/>
      <c r="B35" s="20" t="s">
        <v>14</v>
      </c>
      <c r="C35" s="13" t="s">
        <v>51</v>
      </c>
      <c r="D35" s="12" t="s">
        <v>15</v>
      </c>
      <c r="E35" s="19" t="s">
        <v>81</v>
      </c>
      <c r="F35" s="21" t="s">
        <v>69</v>
      </c>
      <c r="G35" s="23">
        <v>1616.99</v>
      </c>
      <c r="H35" s="14">
        <f t="shared" si="1"/>
        <v>1270.49</v>
      </c>
      <c r="I35" s="17">
        <v>490.35</v>
      </c>
      <c r="J35" s="17">
        <v>210.15</v>
      </c>
      <c r="K35" s="17">
        <v>569.99</v>
      </c>
      <c r="L35" s="17"/>
      <c r="M35" s="15">
        <v>53.9</v>
      </c>
      <c r="N35" s="16">
        <f>19+24</f>
        <v>43</v>
      </c>
      <c r="O35" s="13" t="s">
        <v>54</v>
      </c>
    </row>
    <row r="36" spans="1:15" ht="24" x14ac:dyDescent="0.25">
      <c r="A36" s="4"/>
      <c r="B36" s="20" t="s">
        <v>14</v>
      </c>
      <c r="C36" s="13" t="s">
        <v>51</v>
      </c>
      <c r="D36" s="12" t="s">
        <v>15</v>
      </c>
      <c r="E36" s="19" t="s">
        <v>81</v>
      </c>
      <c r="F36" s="21" t="s">
        <v>35</v>
      </c>
      <c r="G36" s="23">
        <v>94.49</v>
      </c>
      <c r="H36" s="14">
        <f t="shared" si="1"/>
        <v>52</v>
      </c>
      <c r="I36" s="17"/>
      <c r="J36" s="17"/>
      <c r="K36" s="17">
        <v>52</v>
      </c>
      <c r="L36" s="17"/>
      <c r="M36" s="15">
        <v>0.04</v>
      </c>
      <c r="N36" s="16">
        <f>0.02</f>
        <v>0.02</v>
      </c>
      <c r="O36" s="13" t="s">
        <v>54</v>
      </c>
    </row>
    <row r="37" spans="1:15" ht="24" x14ac:dyDescent="0.25">
      <c r="A37" s="4"/>
      <c r="B37" s="20" t="s">
        <v>14</v>
      </c>
      <c r="C37" s="13" t="s">
        <v>51</v>
      </c>
      <c r="D37" s="12" t="s">
        <v>15</v>
      </c>
      <c r="E37" s="19" t="s">
        <v>81</v>
      </c>
      <c r="F37" s="21" t="s">
        <v>49</v>
      </c>
      <c r="G37" s="23">
        <v>1104.8</v>
      </c>
      <c r="H37" s="14">
        <f t="shared" si="1"/>
        <v>660</v>
      </c>
      <c r="I37" s="17"/>
      <c r="J37" s="17"/>
      <c r="K37" s="17">
        <v>660</v>
      </c>
      <c r="L37" s="17"/>
      <c r="M37" s="15">
        <v>6.08</v>
      </c>
      <c r="N37" s="16">
        <f>3.3</f>
        <v>3.3</v>
      </c>
      <c r="O37" s="13" t="s">
        <v>54</v>
      </c>
    </row>
    <row r="38" spans="1:15" ht="24" x14ac:dyDescent="0.25">
      <c r="A38" s="4"/>
      <c r="B38" s="20" t="s">
        <v>14</v>
      </c>
      <c r="C38" s="13" t="s">
        <v>51</v>
      </c>
      <c r="D38" s="12" t="s">
        <v>15</v>
      </c>
      <c r="E38" s="19" t="s">
        <v>81</v>
      </c>
      <c r="F38" s="21" t="s">
        <v>72</v>
      </c>
      <c r="G38" s="23">
        <v>7063.34</v>
      </c>
      <c r="H38" s="14">
        <f t="shared" si="1"/>
        <v>4404.21</v>
      </c>
      <c r="I38" s="17">
        <v>1123.57</v>
      </c>
      <c r="J38" s="17">
        <v>481.53</v>
      </c>
      <c r="K38" s="17">
        <v>2799.11</v>
      </c>
      <c r="L38" s="17"/>
      <c r="M38" s="15">
        <v>221.79</v>
      </c>
      <c r="N38" s="16">
        <f>84.45+66.57</f>
        <v>151.01999999999998</v>
      </c>
      <c r="O38" s="13" t="s">
        <v>54</v>
      </c>
    </row>
    <row r="39" spans="1:15" ht="24" x14ac:dyDescent="0.25">
      <c r="A39" s="4"/>
      <c r="B39" s="20" t="s">
        <v>14</v>
      </c>
      <c r="C39" s="13" t="s">
        <v>51</v>
      </c>
      <c r="D39" s="12" t="s">
        <v>15</v>
      </c>
      <c r="E39" s="19" t="s">
        <v>81</v>
      </c>
      <c r="F39" s="21" t="s">
        <v>22</v>
      </c>
      <c r="G39" s="23">
        <v>9020.6299999999992</v>
      </c>
      <c r="H39" s="14">
        <f t="shared" si="1"/>
        <v>7932.05</v>
      </c>
      <c r="I39" s="17">
        <v>3119.9070000000002</v>
      </c>
      <c r="J39" s="17">
        <v>1337.1030000000001</v>
      </c>
      <c r="K39" s="17">
        <v>3475.04</v>
      </c>
      <c r="L39" s="17"/>
      <c r="M39" s="15">
        <v>189.33</v>
      </c>
      <c r="N39" s="16">
        <f>71.36+103.52</f>
        <v>174.88</v>
      </c>
      <c r="O39" s="13" t="s">
        <v>54</v>
      </c>
    </row>
    <row r="40" spans="1:15" ht="24" x14ac:dyDescent="0.25">
      <c r="A40" s="4"/>
      <c r="B40" s="20" t="s">
        <v>14</v>
      </c>
      <c r="C40" s="13" t="s">
        <v>51</v>
      </c>
      <c r="D40" s="12" t="s">
        <v>15</v>
      </c>
      <c r="E40" s="19" t="s">
        <v>81</v>
      </c>
      <c r="F40" s="21" t="s">
        <v>23</v>
      </c>
      <c r="G40" s="23">
        <v>9279.42</v>
      </c>
      <c r="H40" s="14">
        <f t="shared" si="1"/>
        <v>8773.42</v>
      </c>
      <c r="I40" s="17">
        <v>445.9</v>
      </c>
      <c r="J40" s="17">
        <v>191.1</v>
      </c>
      <c r="K40" s="17">
        <v>8136.42</v>
      </c>
      <c r="L40" s="17"/>
      <c r="M40" s="15">
        <v>57.170999999999999</v>
      </c>
      <c r="N40" s="16">
        <f>49.77+4.9</f>
        <v>54.67</v>
      </c>
      <c r="O40" s="13" t="s">
        <v>54</v>
      </c>
    </row>
    <row r="41" spans="1:15" ht="24" x14ac:dyDescent="0.25">
      <c r="A41" s="4"/>
      <c r="B41" s="20" t="s">
        <v>14</v>
      </c>
      <c r="C41" s="13" t="s">
        <v>51</v>
      </c>
      <c r="D41" s="12" t="s">
        <v>15</v>
      </c>
      <c r="E41" s="19" t="s">
        <v>81</v>
      </c>
      <c r="F41" s="21" t="s">
        <v>24</v>
      </c>
      <c r="G41" s="23">
        <v>25840.18</v>
      </c>
      <c r="H41" s="14">
        <f t="shared" si="1"/>
        <v>15084.080000000002</v>
      </c>
      <c r="I41" s="17">
        <v>4770.1360000000004</v>
      </c>
      <c r="J41" s="17">
        <v>2044.3440000000001</v>
      </c>
      <c r="K41" s="17">
        <v>8269.6</v>
      </c>
      <c r="L41" s="17"/>
      <c r="M41" s="15">
        <v>218.99799999999999</v>
      </c>
      <c r="N41" s="16">
        <f>82.6+65.03</f>
        <v>147.63</v>
      </c>
      <c r="O41" s="13" t="s">
        <v>54</v>
      </c>
    </row>
    <row r="42" spans="1:15" ht="24" x14ac:dyDescent="0.25">
      <c r="A42" s="4"/>
      <c r="B42" s="20" t="s">
        <v>14</v>
      </c>
      <c r="C42" s="13" t="s">
        <v>51</v>
      </c>
      <c r="D42" s="12" t="s">
        <v>15</v>
      </c>
      <c r="E42" s="19" t="s">
        <v>81</v>
      </c>
      <c r="F42" s="21" t="s">
        <v>36</v>
      </c>
      <c r="G42" s="23">
        <v>25426.6</v>
      </c>
      <c r="H42" s="14">
        <f t="shared" si="1"/>
        <v>19196.919999999998</v>
      </c>
      <c r="I42" s="17">
        <v>6423.634</v>
      </c>
      <c r="J42" s="17">
        <v>2752.9859999999999</v>
      </c>
      <c r="K42" s="17">
        <v>10020.299999999999</v>
      </c>
      <c r="L42" s="17"/>
      <c r="M42" s="15">
        <v>67.873999999999995</v>
      </c>
      <c r="N42" s="16">
        <f>27.36+40.28</f>
        <v>67.64</v>
      </c>
      <c r="O42" s="13" t="s">
        <v>54</v>
      </c>
    </row>
    <row r="43" spans="1:15" ht="24.75" x14ac:dyDescent="0.25">
      <c r="A43" s="4"/>
      <c r="B43" s="20" t="s">
        <v>14</v>
      </c>
      <c r="C43" s="13" t="s">
        <v>51</v>
      </c>
      <c r="D43" s="12" t="s">
        <v>15</v>
      </c>
      <c r="E43" s="19" t="s">
        <v>81</v>
      </c>
      <c r="F43" s="21" t="s">
        <v>59</v>
      </c>
      <c r="G43" s="23">
        <v>44256.84</v>
      </c>
      <c r="H43" s="14">
        <f t="shared" si="1"/>
        <v>26912</v>
      </c>
      <c r="I43" s="17">
        <v>6741</v>
      </c>
      <c r="J43" s="17">
        <v>2889</v>
      </c>
      <c r="K43" s="17">
        <v>17282</v>
      </c>
      <c r="L43" s="17"/>
      <c r="M43" s="15">
        <v>711.34</v>
      </c>
      <c r="N43" s="16">
        <f>282.7+173</f>
        <v>455.7</v>
      </c>
      <c r="O43" s="13" t="s">
        <v>54</v>
      </c>
    </row>
    <row r="44" spans="1:15" ht="24" x14ac:dyDescent="0.25">
      <c r="A44" s="4"/>
      <c r="B44" s="20" t="s">
        <v>14</v>
      </c>
      <c r="C44" s="13" t="s">
        <v>51</v>
      </c>
      <c r="D44" s="12" t="s">
        <v>15</v>
      </c>
      <c r="E44" s="19" t="s">
        <v>81</v>
      </c>
      <c r="F44" s="21" t="s">
        <v>37</v>
      </c>
      <c r="G44" s="23">
        <v>14293.16</v>
      </c>
      <c r="H44" s="14">
        <f t="shared" si="1"/>
        <v>5884.0599999999995</v>
      </c>
      <c r="I44" s="17">
        <v>750.47</v>
      </c>
      <c r="J44" s="17">
        <v>321.63</v>
      </c>
      <c r="K44" s="17">
        <v>4811.96</v>
      </c>
      <c r="L44" s="17"/>
      <c r="M44" s="15">
        <v>269.68</v>
      </c>
      <c r="N44" s="16">
        <f>85.69+25.27</f>
        <v>110.96</v>
      </c>
      <c r="O44" s="13" t="s">
        <v>54</v>
      </c>
    </row>
    <row r="45" spans="1:15" ht="24" x14ac:dyDescent="0.25">
      <c r="A45" s="4"/>
      <c r="B45" s="20" t="s">
        <v>14</v>
      </c>
      <c r="C45" s="13" t="s">
        <v>51</v>
      </c>
      <c r="D45" s="12" t="s">
        <v>15</v>
      </c>
      <c r="E45" s="19" t="s">
        <v>81</v>
      </c>
      <c r="F45" s="21" t="s">
        <v>38</v>
      </c>
      <c r="G45" s="23">
        <v>1650.91</v>
      </c>
      <c r="H45" s="14">
        <f t="shared" si="1"/>
        <v>1166.8899999999999</v>
      </c>
      <c r="I45" s="17">
        <v>338.8</v>
      </c>
      <c r="J45" s="17">
        <v>145.19999999999999</v>
      </c>
      <c r="K45" s="17">
        <v>682.89</v>
      </c>
      <c r="L45" s="17"/>
      <c r="M45" s="15">
        <v>45.03</v>
      </c>
      <c r="N45" s="16">
        <f>18.99+13.6</f>
        <v>32.589999999999996</v>
      </c>
      <c r="O45" s="13" t="s">
        <v>54</v>
      </c>
    </row>
    <row r="46" spans="1:15" ht="24.75" x14ac:dyDescent="0.25">
      <c r="A46" s="4"/>
      <c r="B46" s="20" t="s">
        <v>14</v>
      </c>
      <c r="C46" s="13" t="s">
        <v>51</v>
      </c>
      <c r="D46" s="12" t="s">
        <v>15</v>
      </c>
      <c r="E46" s="19" t="s">
        <v>81</v>
      </c>
      <c r="F46" s="21" t="s">
        <v>62</v>
      </c>
      <c r="G46" s="23">
        <v>77810.62</v>
      </c>
      <c r="H46" s="14">
        <f t="shared" si="1"/>
        <v>55834.32</v>
      </c>
      <c r="I46" s="17">
        <v>19467.797999999999</v>
      </c>
      <c r="J46" s="17">
        <v>8343.3420000000006</v>
      </c>
      <c r="K46" s="17">
        <v>28023.18</v>
      </c>
      <c r="L46" s="17"/>
      <c r="M46" s="15">
        <v>371.06400000000002</v>
      </c>
      <c r="N46" s="16">
        <f>138.67+128.65</f>
        <v>267.32</v>
      </c>
      <c r="O46" s="13" t="s">
        <v>54</v>
      </c>
    </row>
    <row r="47" spans="1:15" ht="24" x14ac:dyDescent="0.25">
      <c r="A47" s="4"/>
      <c r="B47" s="20" t="s">
        <v>14</v>
      </c>
      <c r="C47" s="13" t="s">
        <v>51</v>
      </c>
      <c r="D47" s="12" t="s">
        <v>15</v>
      </c>
      <c r="E47" s="19" t="s">
        <v>81</v>
      </c>
      <c r="F47" s="21" t="s">
        <v>73</v>
      </c>
      <c r="G47" s="23">
        <v>7310.6</v>
      </c>
      <c r="H47" s="14">
        <f t="shared" si="1"/>
        <v>4959.3</v>
      </c>
      <c r="I47" s="17">
        <v>159.6</v>
      </c>
      <c r="J47" s="17">
        <v>68.400000000000006</v>
      </c>
      <c r="K47" s="17">
        <v>4731.3</v>
      </c>
      <c r="L47" s="17"/>
      <c r="M47" s="15">
        <v>51.56</v>
      </c>
      <c r="N47" s="16">
        <f>35.93+2.8</f>
        <v>38.729999999999997</v>
      </c>
      <c r="O47" s="13" t="s">
        <v>54</v>
      </c>
    </row>
    <row r="48" spans="1:15" ht="24.75" x14ac:dyDescent="0.25">
      <c r="A48" s="4"/>
      <c r="B48" s="20" t="s">
        <v>14</v>
      </c>
      <c r="C48" s="13" t="s">
        <v>51</v>
      </c>
      <c r="D48" s="12" t="s">
        <v>15</v>
      </c>
      <c r="E48" s="19" t="s">
        <v>81</v>
      </c>
      <c r="F48" s="21" t="s">
        <v>80</v>
      </c>
      <c r="G48" s="23">
        <v>7324.82</v>
      </c>
      <c r="H48" s="14">
        <f t="shared" si="1"/>
        <v>8269.82</v>
      </c>
      <c r="I48" s="17">
        <v>1180.2</v>
      </c>
      <c r="J48" s="17">
        <v>505.8</v>
      </c>
      <c r="K48" s="17">
        <v>6583.82</v>
      </c>
      <c r="L48" s="17"/>
      <c r="M48" s="15">
        <v>31.69</v>
      </c>
      <c r="N48" s="16">
        <f>28.44+8.5</f>
        <v>36.94</v>
      </c>
      <c r="O48" s="13" t="s">
        <v>54</v>
      </c>
    </row>
    <row r="49" spans="1:15" ht="24" x14ac:dyDescent="0.25">
      <c r="A49" s="4"/>
      <c r="B49" s="20" t="s">
        <v>14</v>
      </c>
      <c r="C49" s="13" t="s">
        <v>51</v>
      </c>
      <c r="D49" s="12" t="s">
        <v>15</v>
      </c>
      <c r="E49" s="19" t="s">
        <v>81</v>
      </c>
      <c r="F49" s="21" t="s">
        <v>39</v>
      </c>
      <c r="G49" s="23">
        <v>4138.6899999999996</v>
      </c>
      <c r="H49" s="14">
        <f t="shared" si="1"/>
        <v>3196.79</v>
      </c>
      <c r="I49" s="17">
        <v>1164.45</v>
      </c>
      <c r="J49" s="17">
        <v>499.05</v>
      </c>
      <c r="K49" s="17">
        <v>1533.29</v>
      </c>
      <c r="L49" s="17"/>
      <c r="M49" s="15">
        <v>25.995000000000001</v>
      </c>
      <c r="N49" s="16">
        <f>10.255+10.5</f>
        <v>20.755000000000003</v>
      </c>
      <c r="O49" s="13" t="s">
        <v>54</v>
      </c>
    </row>
    <row r="50" spans="1:15" ht="24" x14ac:dyDescent="0.25">
      <c r="A50" s="4"/>
      <c r="B50" s="20" t="s">
        <v>14</v>
      </c>
      <c r="C50" s="13" t="s">
        <v>51</v>
      </c>
      <c r="D50" s="12" t="s">
        <v>15</v>
      </c>
      <c r="E50" s="19" t="s">
        <v>81</v>
      </c>
      <c r="F50" s="21" t="s">
        <v>40</v>
      </c>
      <c r="G50" s="23">
        <v>325</v>
      </c>
      <c r="H50" s="14">
        <f t="shared" si="1"/>
        <v>325</v>
      </c>
      <c r="I50" s="17"/>
      <c r="J50" s="17"/>
      <c r="K50" s="17">
        <v>325</v>
      </c>
      <c r="L50" s="17"/>
      <c r="M50" s="15">
        <v>2.5</v>
      </c>
      <c r="N50" s="16">
        <f>2.5</f>
        <v>2.5</v>
      </c>
      <c r="O50" s="13" t="s">
        <v>54</v>
      </c>
    </row>
    <row r="51" spans="1:15" ht="24" x14ac:dyDescent="0.25">
      <c r="A51" s="4"/>
      <c r="B51" s="20" t="s">
        <v>14</v>
      </c>
      <c r="C51" s="13" t="s">
        <v>51</v>
      </c>
      <c r="D51" s="12" t="s">
        <v>15</v>
      </c>
      <c r="E51" s="19" t="s">
        <v>81</v>
      </c>
      <c r="F51" s="21" t="s">
        <v>74</v>
      </c>
      <c r="G51" s="23">
        <v>8033.18</v>
      </c>
      <c r="H51" s="14">
        <f t="shared" si="1"/>
        <v>5784.98</v>
      </c>
      <c r="I51" s="17">
        <v>47.655999999999999</v>
      </c>
      <c r="J51" s="17">
        <v>20.423999999999999</v>
      </c>
      <c r="K51" s="17">
        <v>5716.9</v>
      </c>
      <c r="L51" s="17"/>
      <c r="M51" s="15">
        <v>56.470999999999997</v>
      </c>
      <c r="N51" s="16">
        <f>43.35+0.851</f>
        <v>44.201000000000001</v>
      </c>
      <c r="O51" s="13" t="s">
        <v>54</v>
      </c>
    </row>
    <row r="52" spans="1:15" ht="24" x14ac:dyDescent="0.25">
      <c r="A52" s="4"/>
      <c r="B52" s="20" t="s">
        <v>14</v>
      </c>
      <c r="C52" s="13" t="s">
        <v>51</v>
      </c>
      <c r="D52" s="12" t="s">
        <v>15</v>
      </c>
      <c r="E52" s="19" t="s">
        <v>81</v>
      </c>
      <c r="F52" s="21" t="s">
        <v>46</v>
      </c>
      <c r="G52" s="23">
        <v>1637.08</v>
      </c>
      <c r="H52" s="14">
        <f t="shared" si="1"/>
        <v>560.08000000000004</v>
      </c>
      <c r="I52" s="17">
        <v>229.25</v>
      </c>
      <c r="J52" s="17">
        <v>98.25</v>
      </c>
      <c r="K52" s="17">
        <v>232.58</v>
      </c>
      <c r="L52" s="17"/>
      <c r="M52" s="15">
        <v>11.685</v>
      </c>
      <c r="N52" s="16">
        <f>2.005+2.5</f>
        <v>4.5049999999999999</v>
      </c>
      <c r="O52" s="13" t="s">
        <v>54</v>
      </c>
    </row>
    <row r="53" spans="1:15" ht="24" x14ac:dyDescent="0.25">
      <c r="A53" s="4"/>
      <c r="B53" s="20" t="s">
        <v>14</v>
      </c>
      <c r="C53" s="13" t="s">
        <v>51</v>
      </c>
      <c r="D53" s="12" t="s">
        <v>15</v>
      </c>
      <c r="E53" s="19" t="s">
        <v>81</v>
      </c>
      <c r="F53" s="21" t="s">
        <v>41</v>
      </c>
      <c r="G53" s="23">
        <v>3564.66</v>
      </c>
      <c r="H53" s="14">
        <f t="shared" si="1"/>
        <v>2431.94</v>
      </c>
      <c r="I53" s="17">
        <v>455</v>
      </c>
      <c r="J53" s="17">
        <v>195</v>
      </c>
      <c r="K53" s="17">
        <v>1781.94</v>
      </c>
      <c r="L53" s="17"/>
      <c r="M53" s="15">
        <v>62.62</v>
      </c>
      <c r="N53" s="16">
        <f>30.32+13</f>
        <v>43.32</v>
      </c>
      <c r="O53" s="13" t="s">
        <v>54</v>
      </c>
    </row>
    <row r="54" spans="1:15" ht="24" x14ac:dyDescent="0.25">
      <c r="A54" s="4"/>
      <c r="B54" s="20" t="s">
        <v>14</v>
      </c>
      <c r="C54" s="13" t="s">
        <v>51</v>
      </c>
      <c r="D54" s="12" t="s">
        <v>15</v>
      </c>
      <c r="E54" s="19" t="s">
        <v>81</v>
      </c>
      <c r="F54" s="21" t="s">
        <v>42</v>
      </c>
      <c r="G54" s="23">
        <v>12118</v>
      </c>
      <c r="H54" s="14">
        <f t="shared" si="1"/>
        <v>9230.16</v>
      </c>
      <c r="I54" s="17">
        <v>3372.873</v>
      </c>
      <c r="J54" s="17">
        <v>1445.5170000000001</v>
      </c>
      <c r="K54" s="17">
        <v>4411.7700000000004</v>
      </c>
      <c r="L54" s="17"/>
      <c r="M54" s="15">
        <v>175.345</v>
      </c>
      <c r="N54" s="16">
        <f>62.53+66.43</f>
        <v>128.96</v>
      </c>
      <c r="O54" s="13" t="s">
        <v>54</v>
      </c>
    </row>
    <row r="55" spans="1:15" ht="24.75" x14ac:dyDescent="0.25">
      <c r="A55" s="4"/>
      <c r="B55" s="20" t="s">
        <v>14</v>
      </c>
      <c r="C55" s="13" t="s">
        <v>51</v>
      </c>
      <c r="D55" s="12" t="s">
        <v>15</v>
      </c>
      <c r="E55" s="19" t="s">
        <v>81</v>
      </c>
      <c r="F55" s="21" t="s">
        <v>63</v>
      </c>
      <c r="G55" s="23">
        <v>10266.43</v>
      </c>
      <c r="H55" s="14">
        <f t="shared" si="1"/>
        <v>10535.55</v>
      </c>
      <c r="I55" s="17">
        <v>5535.0050000000001</v>
      </c>
      <c r="J55" s="17">
        <v>2372.145</v>
      </c>
      <c r="K55" s="17">
        <v>1328.4</v>
      </c>
      <c r="L55" s="17">
        <v>1300</v>
      </c>
      <c r="M55" s="15">
        <v>71.632999999999996</v>
      </c>
      <c r="N55" s="16">
        <f>7.38+43.08+5.5</f>
        <v>55.96</v>
      </c>
      <c r="O55" s="13" t="s">
        <v>54</v>
      </c>
    </row>
    <row r="56" spans="1:15" ht="24" x14ac:dyDescent="0.25">
      <c r="A56" s="4"/>
      <c r="B56" s="20" t="s">
        <v>14</v>
      </c>
      <c r="C56" s="13" t="s">
        <v>51</v>
      </c>
      <c r="D56" s="12" t="s">
        <v>15</v>
      </c>
      <c r="E56" s="19" t="s">
        <v>81</v>
      </c>
      <c r="F56" s="21" t="s">
        <v>43</v>
      </c>
      <c r="G56" s="23">
        <v>305.60000000000002</v>
      </c>
      <c r="H56" s="14">
        <f t="shared" si="1"/>
        <v>305.60000000000002</v>
      </c>
      <c r="I56" s="17"/>
      <c r="J56" s="17"/>
      <c r="K56" s="17">
        <v>305.60000000000002</v>
      </c>
      <c r="L56" s="17"/>
      <c r="M56" s="15">
        <v>1.6</v>
      </c>
      <c r="N56" s="16">
        <f>1.6</f>
        <v>1.6</v>
      </c>
      <c r="O56" s="13" t="s">
        <v>54</v>
      </c>
    </row>
    <row r="57" spans="1:15" ht="24" x14ac:dyDescent="0.25">
      <c r="A57" s="4"/>
      <c r="B57" s="20" t="s">
        <v>14</v>
      </c>
      <c r="C57" s="13" t="s">
        <v>51</v>
      </c>
      <c r="D57" s="12" t="s">
        <v>15</v>
      </c>
      <c r="E57" s="19" t="s">
        <v>81</v>
      </c>
      <c r="F57" s="21" t="s">
        <v>71</v>
      </c>
      <c r="G57" s="23">
        <v>23868.41</v>
      </c>
      <c r="H57" s="14">
        <f t="shared" si="1"/>
        <v>13773.119999999999</v>
      </c>
      <c r="I57" s="17">
        <v>4312.2939999999999</v>
      </c>
      <c r="J57" s="17">
        <v>1848.126</v>
      </c>
      <c r="K57" s="17">
        <v>7612.7</v>
      </c>
      <c r="L57" s="17"/>
      <c r="M57" s="15">
        <v>433.78</v>
      </c>
      <c r="N57" s="16">
        <f>142.69+155.5</f>
        <v>298.19</v>
      </c>
      <c r="O57" s="13" t="s">
        <v>54</v>
      </c>
    </row>
    <row r="58" spans="1:15" ht="24" x14ac:dyDescent="0.25">
      <c r="A58" s="4"/>
      <c r="B58" s="20" t="s">
        <v>14</v>
      </c>
      <c r="C58" s="13" t="s">
        <v>51</v>
      </c>
      <c r="D58" s="12" t="s">
        <v>15</v>
      </c>
      <c r="E58" s="19" t="s">
        <v>81</v>
      </c>
      <c r="F58" s="21" t="s">
        <v>44</v>
      </c>
      <c r="G58" s="23">
        <v>5341.54</v>
      </c>
      <c r="H58" s="14">
        <f t="shared" si="1"/>
        <v>2026.8</v>
      </c>
      <c r="I58" s="17">
        <v>235.2</v>
      </c>
      <c r="J58" s="17">
        <v>100.8</v>
      </c>
      <c r="K58" s="17">
        <v>1690.8</v>
      </c>
      <c r="L58" s="17"/>
      <c r="M58" s="15">
        <v>132</v>
      </c>
      <c r="N58" s="16">
        <f>42.27+8.4</f>
        <v>50.67</v>
      </c>
      <c r="O58" s="13" t="s">
        <v>54</v>
      </c>
    </row>
    <row r="59" spans="1:15" ht="24" x14ac:dyDescent="0.25">
      <c r="A59" s="4"/>
      <c r="B59" s="20" t="s">
        <v>14</v>
      </c>
      <c r="C59" s="13" t="s">
        <v>51</v>
      </c>
      <c r="D59" s="12" t="s">
        <v>15</v>
      </c>
      <c r="E59" s="19" t="s">
        <v>81</v>
      </c>
      <c r="F59" s="21" t="s">
        <v>64</v>
      </c>
      <c r="G59" s="23">
        <v>11499.4</v>
      </c>
      <c r="H59" s="14">
        <f t="shared" si="1"/>
        <v>6450.55</v>
      </c>
      <c r="I59" s="17">
        <v>1377.74</v>
      </c>
      <c r="J59" s="17">
        <v>590.46</v>
      </c>
      <c r="K59" s="17">
        <v>4482.3500000000004</v>
      </c>
      <c r="L59" s="17"/>
      <c r="M59" s="15">
        <v>59.868000000000002</v>
      </c>
      <c r="N59" s="16">
        <f>23.33+10.7</f>
        <v>34.03</v>
      </c>
      <c r="O59" s="13" t="s">
        <v>54</v>
      </c>
    </row>
    <row r="60" spans="1:15" ht="24" x14ac:dyDescent="0.25">
      <c r="A60" s="4"/>
      <c r="B60" s="20" t="s">
        <v>14</v>
      </c>
      <c r="C60" s="13" t="s">
        <v>51</v>
      </c>
      <c r="D60" s="12" t="s">
        <v>15</v>
      </c>
      <c r="E60" s="19" t="s">
        <v>81</v>
      </c>
      <c r="F60" s="21" t="s">
        <v>75</v>
      </c>
      <c r="G60" s="23">
        <v>8363.92</v>
      </c>
      <c r="H60" s="14">
        <f t="shared" si="1"/>
        <v>5657.92</v>
      </c>
      <c r="I60" s="17"/>
      <c r="J60" s="17"/>
      <c r="K60" s="17">
        <v>5657.92</v>
      </c>
      <c r="L60" s="17"/>
      <c r="M60" s="15">
        <v>207.6</v>
      </c>
      <c r="N60" s="16">
        <f>162</f>
        <v>162</v>
      </c>
      <c r="O60" s="13" t="s">
        <v>54</v>
      </c>
    </row>
    <row r="61" spans="1:15" ht="24.75" x14ac:dyDescent="0.25">
      <c r="A61" s="4"/>
      <c r="B61" s="20" t="s">
        <v>14</v>
      </c>
      <c r="C61" s="13" t="s">
        <v>51</v>
      </c>
      <c r="D61" s="12" t="s">
        <v>15</v>
      </c>
      <c r="E61" s="19" t="s">
        <v>81</v>
      </c>
      <c r="F61" s="21" t="s">
        <v>78</v>
      </c>
      <c r="G61" s="23">
        <v>1131.51</v>
      </c>
      <c r="H61" s="14">
        <f t="shared" si="1"/>
        <v>825.56</v>
      </c>
      <c r="I61" s="17">
        <v>216.16</v>
      </c>
      <c r="J61" s="17">
        <v>92.64</v>
      </c>
      <c r="K61" s="17">
        <v>516.76</v>
      </c>
      <c r="L61" s="17"/>
      <c r="M61" s="15">
        <v>94.694000000000003</v>
      </c>
      <c r="N61" s="16">
        <f>43.23+25.96</f>
        <v>69.19</v>
      </c>
      <c r="O61" s="13" t="s">
        <v>54</v>
      </c>
    </row>
    <row r="62" spans="1:15" ht="24" x14ac:dyDescent="0.25">
      <c r="A62" s="4"/>
      <c r="B62" s="20" t="s">
        <v>14</v>
      </c>
      <c r="C62" s="13" t="s">
        <v>51</v>
      </c>
      <c r="D62" s="12" t="s">
        <v>15</v>
      </c>
      <c r="E62" s="19" t="s">
        <v>81</v>
      </c>
      <c r="F62" s="21" t="s">
        <v>25</v>
      </c>
      <c r="G62" s="23">
        <v>14226.95</v>
      </c>
      <c r="H62" s="14">
        <f t="shared" si="1"/>
        <v>12173.99</v>
      </c>
      <c r="I62" s="17">
        <v>1653.1479999999999</v>
      </c>
      <c r="J62" s="17">
        <v>708.49199999999996</v>
      </c>
      <c r="K62" s="17">
        <v>7434.35</v>
      </c>
      <c r="L62" s="17">
        <v>2378</v>
      </c>
      <c r="M62" s="15">
        <v>52.98</v>
      </c>
      <c r="N62" s="16">
        <f>27.91+12.9+5.8</f>
        <v>46.61</v>
      </c>
      <c r="O62" s="13" t="s">
        <v>54</v>
      </c>
    </row>
    <row r="63" spans="1:15" ht="24" x14ac:dyDescent="0.25">
      <c r="A63" s="4"/>
      <c r="B63" s="20" t="s">
        <v>14</v>
      </c>
      <c r="C63" s="13" t="s">
        <v>51</v>
      </c>
      <c r="D63" s="12" t="s">
        <v>15</v>
      </c>
      <c r="E63" s="19" t="s">
        <v>81</v>
      </c>
      <c r="F63" s="21" t="s">
        <v>58</v>
      </c>
      <c r="G63" s="23">
        <v>10754.1</v>
      </c>
      <c r="H63" s="14">
        <f t="shared" si="1"/>
        <v>6405.2000000000007</v>
      </c>
      <c r="I63" s="17">
        <v>2671.7040000000002</v>
      </c>
      <c r="J63" s="17">
        <v>1145.0160000000001</v>
      </c>
      <c r="K63" s="17">
        <v>2588.48</v>
      </c>
      <c r="L63" s="17"/>
      <c r="M63" s="15">
        <v>65.582999999999998</v>
      </c>
      <c r="N63" s="16">
        <f>16.05+23.69</f>
        <v>39.74</v>
      </c>
      <c r="O63" s="13" t="s">
        <v>54</v>
      </c>
    </row>
    <row r="64" spans="1:15" ht="24" x14ac:dyDescent="0.25">
      <c r="A64" s="4"/>
      <c r="B64" s="20" t="s">
        <v>14</v>
      </c>
      <c r="C64" s="13" t="s">
        <v>51</v>
      </c>
      <c r="D64" s="12" t="s">
        <v>15</v>
      </c>
      <c r="E64" s="19" t="s">
        <v>81</v>
      </c>
      <c r="F64" s="21" t="s">
        <v>61</v>
      </c>
      <c r="G64" s="23">
        <v>4538.22</v>
      </c>
      <c r="H64" s="14">
        <f t="shared" si="1"/>
        <v>3327.42</v>
      </c>
      <c r="I64" s="17">
        <v>1001.7</v>
      </c>
      <c r="J64" s="17">
        <v>429.3</v>
      </c>
      <c r="K64" s="17">
        <v>1896.42</v>
      </c>
      <c r="L64" s="17"/>
      <c r="M64" s="15">
        <v>7.4749999999999996</v>
      </c>
      <c r="N64" s="16">
        <f>3.35+2.25</f>
        <v>5.6</v>
      </c>
      <c r="O64" s="13" t="s">
        <v>54</v>
      </c>
    </row>
    <row r="65" spans="1:15" ht="24" x14ac:dyDescent="0.25">
      <c r="A65" s="4"/>
      <c r="B65" s="20" t="s">
        <v>14</v>
      </c>
      <c r="C65" s="13" t="s">
        <v>51</v>
      </c>
      <c r="D65" s="12" t="s">
        <v>15</v>
      </c>
      <c r="E65" s="19" t="s">
        <v>81</v>
      </c>
      <c r="F65" s="21" t="s">
        <v>60</v>
      </c>
      <c r="G65" s="23">
        <v>2180</v>
      </c>
      <c r="H65" s="14">
        <f t="shared" si="1"/>
        <v>1560</v>
      </c>
      <c r="I65" s="17"/>
      <c r="J65" s="17"/>
      <c r="K65" s="17">
        <v>1560</v>
      </c>
      <c r="L65" s="17"/>
      <c r="M65" s="15">
        <v>8</v>
      </c>
      <c r="N65" s="16">
        <f>6</f>
        <v>6</v>
      </c>
      <c r="O65" s="13" t="s">
        <v>54</v>
      </c>
    </row>
    <row r="66" spans="1:15" ht="24" x14ac:dyDescent="0.25">
      <c r="A66" s="4"/>
      <c r="B66" s="20" t="s">
        <v>14</v>
      </c>
      <c r="C66" s="13" t="s">
        <v>51</v>
      </c>
      <c r="D66" s="12" t="s">
        <v>15</v>
      </c>
      <c r="E66" s="19" t="s">
        <v>81</v>
      </c>
      <c r="F66" s="21" t="s">
        <v>26</v>
      </c>
      <c r="G66" s="23">
        <v>7726.59</v>
      </c>
      <c r="H66" s="14">
        <f t="shared" si="1"/>
        <v>5095.33</v>
      </c>
      <c r="I66" s="17">
        <v>1289.9880000000001</v>
      </c>
      <c r="J66" s="17">
        <v>552.85199999999998</v>
      </c>
      <c r="K66" s="17">
        <v>3252.49</v>
      </c>
      <c r="L66" s="17"/>
      <c r="M66" s="15">
        <v>52.037999999999997</v>
      </c>
      <c r="N66" s="16">
        <f>21.46+16.81</f>
        <v>38.269999999999996</v>
      </c>
      <c r="O66" s="13" t="s">
        <v>54</v>
      </c>
    </row>
    <row r="67" spans="1:15" ht="24" x14ac:dyDescent="0.25">
      <c r="A67" s="4"/>
      <c r="B67" s="20" t="s">
        <v>14</v>
      </c>
      <c r="C67" s="13" t="s">
        <v>51</v>
      </c>
      <c r="D67" s="12" t="s">
        <v>15</v>
      </c>
      <c r="E67" s="19" t="s">
        <v>81</v>
      </c>
      <c r="F67" s="21" t="s">
        <v>27</v>
      </c>
      <c r="G67" s="23">
        <v>1065</v>
      </c>
      <c r="H67" s="14">
        <f t="shared" si="1"/>
        <v>1283</v>
      </c>
      <c r="I67" s="17">
        <v>152.6</v>
      </c>
      <c r="J67" s="17">
        <v>65.400000000000006</v>
      </c>
      <c r="K67" s="17">
        <v>1065</v>
      </c>
      <c r="L67" s="17"/>
      <c r="M67" s="15">
        <v>2.68</v>
      </c>
      <c r="N67" s="16">
        <f>2.678+2</f>
        <v>4.6779999999999999</v>
      </c>
      <c r="O67" s="13" t="s">
        <v>54</v>
      </c>
    </row>
    <row r="68" spans="1:15" ht="24" x14ac:dyDescent="0.25">
      <c r="A68" s="4"/>
      <c r="B68" s="20" t="s">
        <v>14</v>
      </c>
      <c r="C68" s="13" t="s">
        <v>51</v>
      </c>
      <c r="D68" s="12" t="s">
        <v>15</v>
      </c>
      <c r="E68" s="19" t="s">
        <v>81</v>
      </c>
      <c r="F68" s="21" t="s">
        <v>56</v>
      </c>
      <c r="G68" s="23">
        <v>37076.36</v>
      </c>
      <c r="H68" s="14">
        <f t="shared" si="1"/>
        <v>27000.620000000003</v>
      </c>
      <c r="I68" s="17">
        <v>13551.734</v>
      </c>
      <c r="J68" s="17">
        <v>5807.8860000000004</v>
      </c>
      <c r="K68" s="17">
        <v>6595</v>
      </c>
      <c r="L68" s="17">
        <v>1046</v>
      </c>
      <c r="M68" s="15">
        <v>104.85899999999999</v>
      </c>
      <c r="N68" s="16">
        <f>14.55+83.62+7</f>
        <v>105.17</v>
      </c>
      <c r="O68" s="13" t="s">
        <v>54</v>
      </c>
    </row>
    <row r="69" spans="1:15" ht="24.75" x14ac:dyDescent="0.25">
      <c r="A69" s="4"/>
      <c r="B69" s="20" t="s">
        <v>14</v>
      </c>
      <c r="C69" s="13" t="s">
        <v>51</v>
      </c>
      <c r="D69" s="12" t="s">
        <v>15</v>
      </c>
      <c r="E69" s="19" t="s">
        <v>81</v>
      </c>
      <c r="F69" s="21" t="s">
        <v>79</v>
      </c>
      <c r="G69" s="23">
        <v>43164.4</v>
      </c>
      <c r="H69" s="14">
        <f t="shared" si="1"/>
        <v>31493.160000000003</v>
      </c>
      <c r="I69" s="17">
        <v>10499.804</v>
      </c>
      <c r="J69" s="17">
        <v>4499.9160000000002</v>
      </c>
      <c r="K69" s="17">
        <v>12118.44</v>
      </c>
      <c r="L69" s="17">
        <v>4375</v>
      </c>
      <c r="M69" s="15">
        <v>1280.8</v>
      </c>
      <c r="N69" s="16">
        <f>382.6+558.6+175</f>
        <v>1116.2</v>
      </c>
      <c r="O69" s="13" t="s">
        <v>54</v>
      </c>
    </row>
    <row r="70" spans="1:15" ht="24" x14ac:dyDescent="0.25">
      <c r="A70" s="4"/>
      <c r="B70" s="20" t="s">
        <v>14</v>
      </c>
      <c r="C70" s="13" t="s">
        <v>51</v>
      </c>
      <c r="D70" s="12" t="s">
        <v>15</v>
      </c>
      <c r="E70" s="19" t="s">
        <v>81</v>
      </c>
      <c r="F70" s="21" t="s">
        <v>50</v>
      </c>
      <c r="G70" s="23">
        <v>1488.7</v>
      </c>
      <c r="H70" s="14">
        <f t="shared" si="1"/>
        <v>1488.7</v>
      </c>
      <c r="I70" s="17"/>
      <c r="J70" s="17"/>
      <c r="K70" s="17">
        <v>1488.7</v>
      </c>
      <c r="L70" s="17"/>
      <c r="M70" s="15">
        <v>14.887</v>
      </c>
      <c r="N70" s="16">
        <f>14.887</f>
        <v>14.887</v>
      </c>
      <c r="O70" s="13" t="s">
        <v>54</v>
      </c>
    </row>
    <row r="71" spans="1:15" ht="24" x14ac:dyDescent="0.25">
      <c r="A71" s="4"/>
      <c r="B71" s="20" t="s">
        <v>14</v>
      </c>
      <c r="C71" s="13" t="s">
        <v>51</v>
      </c>
      <c r="D71" s="12" t="s">
        <v>15</v>
      </c>
      <c r="E71" s="19" t="s">
        <v>81</v>
      </c>
      <c r="F71" s="21" t="s">
        <v>76</v>
      </c>
      <c r="G71" s="23">
        <v>6926.13</v>
      </c>
      <c r="H71" s="14">
        <f t="shared" si="1"/>
        <v>4823.97</v>
      </c>
      <c r="I71" s="17">
        <v>1493.2190000000001</v>
      </c>
      <c r="J71" s="17">
        <v>639.95100000000002</v>
      </c>
      <c r="K71" s="17">
        <v>2690.8</v>
      </c>
      <c r="L71" s="17"/>
      <c r="M71" s="15">
        <v>14.605</v>
      </c>
      <c r="N71" s="16">
        <f>5.41+12.51</f>
        <v>17.920000000000002</v>
      </c>
      <c r="O71" s="13" t="s">
        <v>54</v>
      </c>
    </row>
    <row r="72" spans="1:15" ht="24" x14ac:dyDescent="0.25">
      <c r="A72" s="4"/>
      <c r="B72" s="20" t="s">
        <v>14</v>
      </c>
      <c r="C72" s="13" t="s">
        <v>51</v>
      </c>
      <c r="D72" s="12" t="s">
        <v>15</v>
      </c>
      <c r="E72" s="19" t="s">
        <v>81</v>
      </c>
      <c r="F72" s="21" t="s">
        <v>77</v>
      </c>
      <c r="G72" s="23">
        <v>18743.599999999999</v>
      </c>
      <c r="H72" s="14">
        <f t="shared" si="1"/>
        <v>14227.35</v>
      </c>
      <c r="I72" s="17">
        <v>1559.6</v>
      </c>
      <c r="J72" s="17">
        <v>668.4</v>
      </c>
      <c r="K72" s="17">
        <v>11999.35</v>
      </c>
      <c r="L72" s="17"/>
      <c r="M72" s="15">
        <v>178.494</v>
      </c>
      <c r="N72" s="16">
        <f>109.25+21.22</f>
        <v>130.47</v>
      </c>
      <c r="O72" s="13" t="s">
        <v>54</v>
      </c>
    </row>
    <row r="73" spans="1:15" ht="24" x14ac:dyDescent="0.25">
      <c r="A73" s="4"/>
      <c r="B73" s="20" t="s">
        <v>14</v>
      </c>
      <c r="C73" s="13" t="s">
        <v>51</v>
      </c>
      <c r="D73" s="12" t="s">
        <v>15</v>
      </c>
      <c r="E73" s="19" t="s">
        <v>81</v>
      </c>
      <c r="F73" s="21" t="s">
        <v>45</v>
      </c>
      <c r="G73" s="23">
        <v>5990</v>
      </c>
      <c r="H73" s="14">
        <f t="shared" si="1"/>
        <v>1864.3</v>
      </c>
      <c r="I73" s="17">
        <v>328.51</v>
      </c>
      <c r="J73" s="17">
        <v>140.79</v>
      </c>
      <c r="K73" s="17">
        <v>1395</v>
      </c>
      <c r="L73" s="17"/>
      <c r="M73" s="15">
        <v>649</v>
      </c>
      <c r="N73" s="16">
        <f>209+64</f>
        <v>273</v>
      </c>
      <c r="O73" s="13" t="s">
        <v>54</v>
      </c>
    </row>
  </sheetData>
  <autoFilter ref="B6:O9">
    <filterColumn colId="6" showButton="0"/>
    <filterColumn colId="7" showButton="0"/>
    <filterColumn colId="8" showButton="0"/>
    <filterColumn colId="9" showButton="0"/>
  </autoFilter>
  <mergeCells count="14">
    <mergeCell ref="O6:O9"/>
    <mergeCell ref="H8:H9"/>
    <mergeCell ref="I8:L8"/>
    <mergeCell ref="N6:N9"/>
    <mergeCell ref="M6:M9"/>
    <mergeCell ref="E6:E9"/>
    <mergeCell ref="F6:F9"/>
    <mergeCell ref="H6:L7"/>
    <mergeCell ref="B2:I2"/>
    <mergeCell ref="B3:J3"/>
    <mergeCell ref="B6:B9"/>
    <mergeCell ref="C6:C9"/>
    <mergeCell ref="D6:D9"/>
    <mergeCell ref="G6:G9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Середина С.В.</dc:creator>
  <cp:lastModifiedBy>школа</cp:lastModifiedBy>
  <cp:revision>5</cp:revision>
  <cp:lastPrinted>2021-03-09T07:21:50Z</cp:lastPrinted>
  <dcterms:created xsi:type="dcterms:W3CDTF">2006-09-16T00:00:00Z</dcterms:created>
  <dcterms:modified xsi:type="dcterms:W3CDTF">2021-06-03T08:22:53Z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